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defaultThemeVersion="166925"/>
  <mc:AlternateContent xmlns:mc="http://schemas.openxmlformats.org/markup-compatibility/2006">
    <mc:Choice Requires="x15">
      <x15ac:absPath xmlns:x15ac="http://schemas.microsoft.com/office/spreadsheetml/2010/11/ac" url="https://mdigital.sharepoint.com/sites/QuicTPDProject/Shared Documents/General/G3 Deliverables/R&amp;D owned deliverables/"/>
    </mc:Choice>
  </mc:AlternateContent>
  <xr:revisionPtr revIDLastSave="0" documentId="8_{9C948144-23A6-44BA-BABC-E98624110CAB}" xr6:coauthVersionLast="47" xr6:coauthVersionMax="47" xr10:uidLastSave="{00000000-0000-0000-0000-000000000000}"/>
  <bookViews>
    <workbookView xWindow="-110" yWindow="-110" windowWidth="19420" windowHeight="10300" xr2:uid="{86EBEE5B-F350-4B35-ABEC-179C6F296C46}"/>
  </bookViews>
  <sheets>
    <sheet name="Sheet1" sheetId="3" r:id="rId1"/>
    <sheet name="Sheet2"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3" l="1"/>
  <c r="I72" i="3"/>
  <c r="I73" i="3"/>
  <c r="H35" i="3"/>
  <c r="D44" i="3"/>
  <c r="D36" i="3"/>
  <c r="D50" i="3" s="1"/>
  <c r="D67" i="3" s="1"/>
  <c r="D45" i="3"/>
  <c r="D43" i="3"/>
  <c r="D42" i="3"/>
  <c r="D41" i="3"/>
  <c r="D48" i="3" l="1"/>
  <c r="D65" i="3" s="1"/>
  <c r="D58" i="3"/>
  <c r="D76" i="3" s="1"/>
  <c r="F76" i="3" s="1"/>
  <c r="D49" i="3"/>
  <c r="D66" i="3" s="1"/>
  <c r="D52" i="3"/>
  <c r="D68" i="3" s="1"/>
  <c r="D51" i="3"/>
  <c r="H40" i="3" s="1"/>
  <c r="D59" i="3" l="1"/>
  <c r="D57" i="3"/>
  <c r="D56" i="3"/>
  <c r="D74" i="3" s="1"/>
  <c r="D60" i="3"/>
  <c r="D75" i="3" l="1"/>
  <c r="D73" i="3"/>
  <c r="D72" i="3"/>
</calcChain>
</file>

<file path=xl/sharedStrings.xml><?xml version="1.0" encoding="utf-8"?>
<sst xmlns="http://schemas.openxmlformats.org/spreadsheetml/2006/main" count="109" uniqueCount="82">
  <si>
    <t>Acid Activated Coupling conditions</t>
  </si>
  <si>
    <t>Please enter the following information (Values in Red are required &amp; modifiable)</t>
  </si>
  <si>
    <t>QuicTPD SKU size used</t>
  </si>
  <si>
    <t>Molecular Weights</t>
  </si>
  <si>
    <t>Final concentration</t>
  </si>
  <si>
    <t>Enter QuicTPD plate SKU size used in microcmole</t>
  </si>
  <si>
    <t>Molecular weight of POI war head 1(g/mol)</t>
  </si>
  <si>
    <t>(+) JQ1 Carboxylic Acid</t>
  </si>
  <si>
    <t>Final concentration of PROTAC desired (mM)</t>
  </si>
  <si>
    <t>Scale of reaction</t>
  </si>
  <si>
    <t>Molecular weight of POI war head 2(g/mol)</t>
  </si>
  <si>
    <t>Target Binding protein moeity 4</t>
  </si>
  <si>
    <t>Enter the amount of limiting reagent (warhead) to be used per reaction in micromole</t>
  </si>
  <si>
    <t>Molecular weight of Acid Activator(EDC recommended) (g/mol)</t>
  </si>
  <si>
    <t>INPUT DATA</t>
  </si>
  <si>
    <t>Molecular weight of Base (NMM recommended) (g/mol)</t>
  </si>
  <si>
    <t>Molecular weight of Additive (OxymaPure recommended)(g/mole)</t>
  </si>
  <si>
    <t>Key Assumptions</t>
  </si>
  <si>
    <t>QuicTPD SKU size should be an intergral multiple of the scale of reaction</t>
  </si>
  <si>
    <t>If scale of reaction is below SKU size, daughter plates would be created</t>
  </si>
  <si>
    <t>Setting up 36 reactions per warhead, hence for two warheads- 72 reactions</t>
  </si>
  <si>
    <t>Final concentration of EDC.Hcl does not exceed 175mM</t>
  </si>
  <si>
    <t>Final concentration of oxymapure does not exceed 500mM</t>
  </si>
  <si>
    <t>Final concentration of NMM does not exceed 240 mM</t>
  </si>
  <si>
    <t>Warheads are limiting reagents</t>
  </si>
  <si>
    <t>Equivalents of coupling reagent is 1.5 w.r.t limiting reagent</t>
  </si>
  <si>
    <t>Equivalents of additive is 2.0 w.r.t limiting reagent</t>
  </si>
  <si>
    <t>Equivalents of Base is 8.0 w.r.t limiting reagent.</t>
  </si>
  <si>
    <t>Equivalents of partial protac is 1.0 w.r.t limiting reagent</t>
  </si>
  <si>
    <t>Calculations are for a single plate</t>
  </si>
  <si>
    <t>Reactions are done at scales at or below the largest QuicTPD SKU size of 10 micromole</t>
  </si>
  <si>
    <t>Total volume of reaction does not exceed 500 microliters</t>
  </si>
  <si>
    <t>OUTPUT DATA</t>
  </si>
  <si>
    <t>Total Volume of Reaction(microliters)</t>
  </si>
  <si>
    <t>No of daughter plates created</t>
  </si>
  <si>
    <t>Volume of reaction in microliters</t>
  </si>
  <si>
    <t>Final Concentration of Reagents(mM)</t>
  </si>
  <si>
    <t>Volume of solvent added in plates before reagents</t>
  </si>
  <si>
    <t>Acid Activator</t>
  </si>
  <si>
    <t>Additive</t>
  </si>
  <si>
    <t>Base</t>
  </si>
  <si>
    <t>Partial PROTAC</t>
  </si>
  <si>
    <t>Warhead</t>
  </si>
  <si>
    <t>Volume of Reagent stocks needed per reaction (microliters)</t>
  </si>
  <si>
    <t>Stock Concentration of Reagents(mM)</t>
  </si>
  <si>
    <t>Total Volume of Reagent stocks (microliters)</t>
  </si>
  <si>
    <t>Warhead 1 or 2</t>
  </si>
  <si>
    <t>Weights of Reagents Required</t>
  </si>
  <si>
    <t>Amount of Warhead 1 to be weighed (mg)</t>
  </si>
  <si>
    <t>Warhead 1</t>
  </si>
  <si>
    <t>Amount of Warhead 2 to be weighed (mg)</t>
  </si>
  <si>
    <t>Warhead 2</t>
  </si>
  <si>
    <t>Amount of Acid Activator to be weighed (mg)</t>
  </si>
  <si>
    <t>Amount of Additive to be weighed (mg)</t>
  </si>
  <si>
    <t>Amount of Base to be weighed (mg)</t>
  </si>
  <si>
    <t>Procedure</t>
  </si>
  <si>
    <t>Weigh Warhead 1, Warhead 2, Acid Activator, Additive, Base in required quantities as shown in C76-C80</t>
  </si>
  <si>
    <t>Add Volume indicated in lines D65-D80 to make stocks of warhead 1, 2, Acid activator, Additive, Base</t>
  </si>
  <si>
    <t>Add Total volume of H40 microliters in QuicTPD plate. Aspirate up and down or shake for 30 mins. Aliquot D51 microliters in another plate if the scale of reaction is below SKU size</t>
  </si>
  <si>
    <t>Add D52 microliters of warhead to each sets of reaction in the aliquoted plate</t>
  </si>
  <si>
    <t>Add D48, D49 and D50 microliters of coupling reagent, additive and base to each set of reactions</t>
  </si>
  <si>
    <t>To warhead only wells add D52 microliters of warhead and balance DMS0</t>
  </si>
  <si>
    <t>Warhead 1 plus rxn mix wells add D52 microliters of warhead, D48, D49, D50 of Activator, Additive, Base and balance DMSO</t>
  </si>
  <si>
    <t>To reaction mix wells add D48, D49, D50 of Activator, Additive, Base and balance DMSO.</t>
  </si>
  <si>
    <t>Leave some wells for DMSO only (negative control)</t>
  </si>
  <si>
    <t>Leave empty wells of positive control</t>
  </si>
  <si>
    <t>MKE QC Ordering Table</t>
  </si>
  <si>
    <t>Int Cat#-Unit Size</t>
  </si>
  <si>
    <t>Int Qty</t>
  </si>
  <si>
    <t>Int Description</t>
  </si>
  <si>
    <t>SML2623-5mg</t>
  </si>
  <si>
    <t>(+)-JQ-1 carboxylic acid</t>
  </si>
  <si>
    <t>906328-100mg</t>
  </si>
  <si>
    <t>BTTAA</t>
  </si>
  <si>
    <t>E6383-5g</t>
  </si>
  <si>
    <t>N-(3-Dimethylaminopropyl)-N′-ethylcarbodiimide hydrochloride</t>
  </si>
  <si>
    <t>407704-100ml</t>
  </si>
  <si>
    <t>4-Methylmorpholine</t>
  </si>
  <si>
    <t>8.51086-25g</t>
  </si>
  <si>
    <t>Oxyma Pure</t>
  </si>
  <si>
    <t>AABH93DE06FD-5mg</t>
  </si>
  <si>
    <t>Target Protein-binding moiety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</si>
</sst>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rgb="FFFF0000"/>
      <name val="Calibri"/>
      <family val="2"/>
      <scheme val="minor"/>
    </font>
    <font>
      <b/>
      <sz val="24"/>
      <color theme="1"/>
      <name val="Calibri"/>
      <family val="2"/>
      <scheme val="minor"/>
    </font>
    <font>
      <b/>
      <sz val="26"/>
      <color theme="5"/>
      <name val="Calibri"/>
      <family val="2"/>
      <scheme val="minor"/>
    </font>
    <font>
      <sz val="11"/>
      <name val="Calibri"/>
      <family val="2"/>
      <scheme val="minor"/>
    </font>
    <font>
      <b/>
      <sz val="20"/>
      <color rgb="FFFF0000"/>
      <name val="Calibri"/>
      <family val="2"/>
      <scheme val="minor"/>
    </font>
    <font>
      <b/>
      <sz val="20"/>
      <color rgb="FF002060"/>
      <name val="Calibri"/>
      <family val="2"/>
      <scheme val="minor"/>
    </font>
    <font>
      <b/>
      <sz val="16"/>
      <color theme="1"/>
      <name val="Calibri"/>
      <family val="2"/>
      <scheme val="minor"/>
    </font>
    <font>
      <sz val="16"/>
      <color theme="1"/>
      <name val="Calibri"/>
      <family val="2"/>
      <scheme val="minor"/>
    </font>
    <font>
      <b/>
      <sz val="11"/>
      <color theme="1"/>
      <name val="Calibri"/>
      <family val="2"/>
      <scheme val="minor"/>
    </font>
    <font>
      <b/>
      <sz val="11"/>
      <color rgb="FF000000"/>
      <name val="Calibri"/>
      <charset val="1"/>
    </font>
    <font>
      <sz val="11"/>
      <color rgb="FF000000"/>
      <name val="Calibri"/>
      <charset val="1"/>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8">
    <xf numFmtId="0" fontId="0" fillId="0" borderId="0" xfId="0"/>
    <xf numFmtId="0" fontId="1" fillId="0" borderId="0" xfId="0" applyFont="1"/>
    <xf numFmtId="0" fontId="0" fillId="0" borderId="3" xfId="0" applyBorder="1"/>
    <xf numFmtId="0" fontId="0" fillId="0" borderId="5" xfId="0" applyBorder="1"/>
    <xf numFmtId="0" fontId="1" fillId="0" borderId="2" xfId="0" applyFont="1" applyBorder="1"/>
    <xf numFmtId="0" fontId="1" fillId="0" borderId="6" xfId="0" applyFont="1" applyBorder="1"/>
    <xf numFmtId="0" fontId="1" fillId="0" borderId="4" xfId="0" applyFont="1" applyBorder="1"/>
    <xf numFmtId="0" fontId="2" fillId="0" borderId="0" xfId="0" applyFont="1"/>
    <xf numFmtId="0" fontId="3" fillId="0" borderId="0" xfId="0" applyFont="1"/>
    <xf numFmtId="0" fontId="4" fillId="0" borderId="1" xfId="0" applyFont="1" applyBorder="1"/>
    <xf numFmtId="0" fontId="4" fillId="0" borderId="3" xfId="0" applyFont="1" applyBorder="1"/>
    <xf numFmtId="0" fontId="5" fillId="0" borderId="0" xfId="0" applyFont="1"/>
    <xf numFmtId="0" fontId="4" fillId="0" borderId="0" xfId="0" applyFont="1"/>
    <xf numFmtId="0" fontId="4" fillId="0" borderId="7" xfId="0" applyFont="1" applyBorder="1"/>
    <xf numFmtId="0" fontId="1" fillId="0" borderId="8" xfId="0" applyFont="1" applyBorder="1"/>
    <xf numFmtId="0" fontId="0" fillId="0" borderId="9" xfId="0" applyBorder="1"/>
    <xf numFmtId="0" fontId="0" fillId="0" borderId="0" xfId="0" applyAlignment="1">
      <alignment horizontal="right"/>
    </xf>
    <xf numFmtId="0" fontId="6" fillId="0" borderId="0" xfId="0" applyFont="1"/>
    <xf numFmtId="0" fontId="0" fillId="0" borderId="10" xfId="0" applyBorder="1"/>
    <xf numFmtId="0" fontId="1" fillId="0" borderId="11" xfId="0" applyFont="1" applyBorder="1"/>
    <xf numFmtId="0" fontId="0" fillId="0" borderId="11" xfId="0" applyBorder="1"/>
    <xf numFmtId="0" fontId="7" fillId="0" borderId="0" xfId="0" applyFont="1"/>
    <xf numFmtId="0" fontId="8" fillId="0" borderId="0" xfId="0" applyFont="1"/>
    <xf numFmtId="0" fontId="8" fillId="0" borderId="9" xfId="0" applyFont="1" applyBorder="1"/>
    <xf numFmtId="0" fontId="9" fillId="0" borderId="0" xfId="0" applyFont="1"/>
    <xf numFmtId="0" fontId="10" fillId="2" borderId="12" xfId="0" applyFont="1" applyFill="1" applyBorder="1"/>
    <xf numFmtId="0" fontId="11" fillId="3" borderId="12" xfId="0" applyFont="1" applyFill="1" applyBorder="1"/>
    <xf numFmtId="0" fontId="9"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0BAA2-B7E1-4207-AEFF-970ABB68EFDC}">
  <dimension ref="B3:L110"/>
  <sheetViews>
    <sheetView tabSelected="1" topLeftCell="C3" zoomScale="60" zoomScaleNormal="60" workbookViewId="0">
      <selection activeCell="D72" sqref="D72"/>
    </sheetView>
  </sheetViews>
  <sheetFormatPr defaultRowHeight="14.45"/>
  <cols>
    <col min="2" max="2" width="31" customWidth="1"/>
    <col min="3" max="3" width="115.42578125" customWidth="1"/>
    <col min="7" max="7" width="77.5703125" customWidth="1"/>
    <col min="9" max="9" width="14" customWidth="1"/>
    <col min="10" max="10" width="15.5703125" customWidth="1"/>
    <col min="11" max="11" width="63" customWidth="1"/>
  </cols>
  <sheetData>
    <row r="3" spans="2:12" ht="33.6">
      <c r="E3" s="8" t="s">
        <v>0</v>
      </c>
    </row>
    <row r="6" spans="2:12">
      <c r="E6" s="1" t="s">
        <v>1</v>
      </c>
    </row>
    <row r="9" spans="2:12" ht="26.45" thickBot="1">
      <c r="C9" s="11" t="s">
        <v>2</v>
      </c>
      <c r="G9" s="11" t="s">
        <v>3</v>
      </c>
      <c r="K9" s="11" t="s">
        <v>4</v>
      </c>
    </row>
    <row r="10" spans="2:12" ht="15" thickBot="1">
      <c r="C10" s="18" t="s">
        <v>5</v>
      </c>
      <c r="D10" s="20">
        <v>3</v>
      </c>
      <c r="G10" s="9" t="s">
        <v>6</v>
      </c>
      <c r="H10" s="4">
        <v>400.88</v>
      </c>
      <c r="I10" t="s">
        <v>7</v>
      </c>
      <c r="K10" s="13" t="s">
        <v>8</v>
      </c>
      <c r="L10" s="14">
        <v>5</v>
      </c>
    </row>
    <row r="11" spans="2:12" ht="26.1">
      <c r="C11" s="11" t="s">
        <v>9</v>
      </c>
      <c r="G11" s="10" t="s">
        <v>10</v>
      </c>
      <c r="H11" s="6">
        <v>396.83</v>
      </c>
      <c r="I11" t="s">
        <v>11</v>
      </c>
      <c r="K11" s="12"/>
      <c r="L11" s="1"/>
    </row>
    <row r="12" spans="2:12">
      <c r="C12" s="18" t="s">
        <v>12</v>
      </c>
      <c r="D12" s="19">
        <v>1.5</v>
      </c>
      <c r="G12" s="2" t="s">
        <v>13</v>
      </c>
      <c r="H12" s="6">
        <v>191.7</v>
      </c>
      <c r="L12" s="1"/>
    </row>
    <row r="13" spans="2:12" ht="30.95">
      <c r="B13" s="7" t="s">
        <v>14</v>
      </c>
      <c r="G13" s="2" t="s">
        <v>15</v>
      </c>
      <c r="H13" s="6">
        <v>101.15</v>
      </c>
      <c r="K13" s="11"/>
      <c r="L13" s="1"/>
    </row>
    <row r="14" spans="2:12" ht="15" thickBot="1">
      <c r="G14" s="3" t="s">
        <v>16</v>
      </c>
      <c r="H14" s="5">
        <v>142.11000000000001</v>
      </c>
      <c r="K14" s="12"/>
      <c r="L14" s="1"/>
    </row>
    <row r="16" spans="2:12" ht="21">
      <c r="C16" s="21" t="s">
        <v>17</v>
      </c>
    </row>
    <row r="17" spans="3:11" ht="21">
      <c r="C17" s="22" t="s">
        <v>18</v>
      </c>
    </row>
    <row r="18" spans="3:11" ht="21">
      <c r="C18" s="22" t="s">
        <v>19</v>
      </c>
    </row>
    <row r="19" spans="3:11" ht="21">
      <c r="C19" s="22" t="s">
        <v>20</v>
      </c>
    </row>
    <row r="20" spans="3:11" ht="21">
      <c r="C20" s="22" t="s">
        <v>21</v>
      </c>
      <c r="K20">
        <f>(250/300)*D12</f>
        <v>1.25</v>
      </c>
    </row>
    <row r="21" spans="3:11" ht="21">
      <c r="C21" s="22" t="s">
        <v>22</v>
      </c>
    </row>
    <row r="22" spans="3:11" ht="21">
      <c r="C22" s="22" t="s">
        <v>23</v>
      </c>
    </row>
    <row r="23" spans="3:11" ht="21">
      <c r="C23" s="22" t="s">
        <v>24</v>
      </c>
    </row>
    <row r="24" spans="3:11" ht="21">
      <c r="C24" s="22" t="s">
        <v>25</v>
      </c>
    </row>
    <row r="25" spans="3:11" ht="21">
      <c r="C25" s="22" t="s">
        <v>26</v>
      </c>
    </row>
    <row r="26" spans="3:11" ht="21">
      <c r="C26" s="22" t="s">
        <v>27</v>
      </c>
    </row>
    <row r="27" spans="3:11" ht="21">
      <c r="C27" s="22" t="s">
        <v>28</v>
      </c>
    </row>
    <row r="28" spans="3:11" ht="21">
      <c r="C28" s="22" t="s">
        <v>29</v>
      </c>
    </row>
    <row r="29" spans="3:11" ht="21">
      <c r="C29" s="22" t="s">
        <v>30</v>
      </c>
    </row>
    <row r="30" spans="3:11" s="15" customFormat="1" ht="21.6" thickBot="1">
      <c r="C30" s="23" t="s">
        <v>31</v>
      </c>
    </row>
    <row r="35" spans="2:8" ht="30.95">
      <c r="B35" s="7" t="s">
        <v>32</v>
      </c>
      <c r="C35" s="11" t="s">
        <v>33</v>
      </c>
      <c r="G35" s="11" t="s">
        <v>34</v>
      </c>
      <c r="H35">
        <f>(D10/2)/D12</f>
        <v>1</v>
      </c>
    </row>
    <row r="36" spans="2:8">
      <c r="C36" t="s">
        <v>35</v>
      </c>
      <c r="D36">
        <f>(D12*1000)/L10</f>
        <v>300</v>
      </c>
    </row>
    <row r="40" spans="2:8" ht="26.1">
      <c r="C40" s="11" t="s">
        <v>36</v>
      </c>
      <c r="G40" s="11" t="s">
        <v>37</v>
      </c>
      <c r="H40">
        <f>H35*D51</f>
        <v>60</v>
      </c>
    </row>
    <row r="41" spans="2:8">
      <c r="C41" t="s">
        <v>38</v>
      </c>
      <c r="D41">
        <f>L10*1.5</f>
        <v>7.5</v>
      </c>
    </row>
    <row r="42" spans="2:8">
      <c r="C42" t="s">
        <v>39</v>
      </c>
      <c r="D42">
        <f>L10*2</f>
        <v>10</v>
      </c>
    </row>
    <row r="43" spans="2:8">
      <c r="C43" t="s">
        <v>40</v>
      </c>
      <c r="D43">
        <f>L10*8</f>
        <v>40</v>
      </c>
    </row>
    <row r="44" spans="2:8">
      <c r="C44" t="s">
        <v>41</v>
      </c>
      <c r="D44">
        <f>L10*1</f>
        <v>5</v>
      </c>
    </row>
    <row r="45" spans="2:8">
      <c r="C45" t="s">
        <v>42</v>
      </c>
      <c r="D45">
        <f>L10</f>
        <v>5</v>
      </c>
    </row>
    <row r="47" spans="2:8" ht="26.1">
      <c r="C47" s="11" t="s">
        <v>43</v>
      </c>
    </row>
    <row r="48" spans="2:8">
      <c r="C48" t="s">
        <v>38</v>
      </c>
      <c r="D48">
        <f>$D$36/5</f>
        <v>60</v>
      </c>
    </row>
    <row r="49" spans="3:4">
      <c r="C49" t="s">
        <v>39</v>
      </c>
      <c r="D49">
        <f t="shared" ref="D49:D52" si="0">$D$36/5</f>
        <v>60</v>
      </c>
    </row>
    <row r="50" spans="3:4">
      <c r="C50" t="s">
        <v>40</v>
      </c>
      <c r="D50">
        <f t="shared" si="0"/>
        <v>60</v>
      </c>
    </row>
    <row r="51" spans="3:4">
      <c r="C51" t="s">
        <v>41</v>
      </c>
      <c r="D51">
        <f t="shared" si="0"/>
        <v>60</v>
      </c>
    </row>
    <row r="52" spans="3:4">
      <c r="C52" t="s">
        <v>42</v>
      </c>
      <c r="D52">
        <f t="shared" si="0"/>
        <v>60</v>
      </c>
    </row>
    <row r="55" spans="3:4" ht="26.1">
      <c r="C55" s="11" t="s">
        <v>44</v>
      </c>
    </row>
    <row r="56" spans="3:4">
      <c r="C56" t="s">
        <v>38</v>
      </c>
      <c r="D56">
        <f>(D41*$D$36)/D48</f>
        <v>37.5</v>
      </c>
    </row>
    <row r="57" spans="3:4">
      <c r="C57" t="s">
        <v>39</v>
      </c>
      <c r="D57">
        <f t="shared" ref="D57:D60" si="1">(D42*$D$36)/D49</f>
        <v>50</v>
      </c>
    </row>
    <row r="58" spans="3:4">
      <c r="C58" t="s">
        <v>40</v>
      </c>
      <c r="D58">
        <f t="shared" si="1"/>
        <v>200</v>
      </c>
    </row>
    <row r="59" spans="3:4">
      <c r="C59" t="s">
        <v>41</v>
      </c>
      <c r="D59">
        <f t="shared" si="1"/>
        <v>25</v>
      </c>
    </row>
    <row r="60" spans="3:4">
      <c r="C60" t="s">
        <v>42</v>
      </c>
      <c r="D60">
        <f t="shared" si="1"/>
        <v>25</v>
      </c>
    </row>
    <row r="64" spans="3:4" ht="26.1">
      <c r="C64" s="11" t="s">
        <v>45</v>
      </c>
    </row>
    <row r="65" spans="2:9">
      <c r="C65" t="s">
        <v>38</v>
      </c>
      <c r="D65">
        <f>1.5*((D48*72)+100)</f>
        <v>6630</v>
      </c>
    </row>
    <row r="66" spans="2:9">
      <c r="C66" t="s">
        <v>39</v>
      </c>
      <c r="D66">
        <f>1.5*((D49*72)+100)</f>
        <v>6630</v>
      </c>
    </row>
    <row r="67" spans="2:9">
      <c r="C67" t="s">
        <v>40</v>
      </c>
      <c r="D67">
        <f>1.5*((D50*72)+100)</f>
        <v>6630</v>
      </c>
    </row>
    <row r="68" spans="2:9">
      <c r="C68" t="s">
        <v>46</v>
      </c>
      <c r="D68">
        <f>1.1*((D52*36)+100)</f>
        <v>2486</v>
      </c>
    </row>
    <row r="71" spans="2:9" ht="26.1">
      <c r="C71" s="11" t="s">
        <v>47</v>
      </c>
    </row>
    <row r="72" spans="2:9">
      <c r="C72" t="s">
        <v>48</v>
      </c>
      <c r="D72">
        <f>(D60*D68*H10)/10^6</f>
        <v>24.914691999999999</v>
      </c>
      <c r="G72" s="24" t="s">
        <v>49</v>
      </c>
      <c r="H72" s="24">
        <v>498.9024</v>
      </c>
      <c r="I72">
        <f>H72-360</f>
        <v>138.9024</v>
      </c>
    </row>
    <row r="73" spans="2:9">
      <c r="C73" t="s">
        <v>50</v>
      </c>
      <c r="D73">
        <f>(D60*D68*H11)/10^6</f>
        <v>24.6629845</v>
      </c>
      <c r="G73" s="24" t="s">
        <v>51</v>
      </c>
      <c r="H73" s="24">
        <v>503.99419999999998</v>
      </c>
      <c r="I73">
        <f>H73-360</f>
        <v>143.99419999999998</v>
      </c>
    </row>
    <row r="74" spans="2:9">
      <c r="C74" t="s">
        <v>52</v>
      </c>
      <c r="D74">
        <f>(D56*D65*H12)/10^6</f>
        <v>47.661412499999997</v>
      </c>
    </row>
    <row r="75" spans="2:9">
      <c r="C75" t="s">
        <v>53</v>
      </c>
      <c r="D75">
        <f>(D66*D57*H14)/10^6</f>
        <v>47.109465000000007</v>
      </c>
    </row>
    <row r="76" spans="2:9">
      <c r="C76" t="s">
        <v>54</v>
      </c>
      <c r="D76">
        <f>(D67*D58*H13)/10^6</f>
        <v>134.12490000000003</v>
      </c>
      <c r="F76">
        <f>((D76/1000)/0.92)*1000</f>
        <v>145.78793478260872</v>
      </c>
    </row>
    <row r="78" spans="2:9" s="15" customFormat="1" ht="15" thickBot="1"/>
    <row r="79" spans="2:9" ht="26.1">
      <c r="C79" s="17" t="s">
        <v>55</v>
      </c>
    </row>
    <row r="80" spans="2:9">
      <c r="B80" s="16">
        <v>1</v>
      </c>
      <c r="C80" t="s">
        <v>56</v>
      </c>
    </row>
    <row r="81" spans="2:3">
      <c r="B81" s="16">
        <v>2</v>
      </c>
      <c r="C81" t="s">
        <v>57</v>
      </c>
    </row>
    <row r="82" spans="2:3">
      <c r="B82" s="16">
        <v>3</v>
      </c>
      <c r="C82" t="s">
        <v>58</v>
      </c>
    </row>
    <row r="83" spans="2:3">
      <c r="B83" s="16">
        <v>4</v>
      </c>
      <c r="C83" t="s">
        <v>59</v>
      </c>
    </row>
    <row r="84" spans="2:3">
      <c r="B84" s="16">
        <v>5</v>
      </c>
      <c r="C84" t="s">
        <v>60</v>
      </c>
    </row>
    <row r="85" spans="2:3">
      <c r="B85" s="16">
        <v>6</v>
      </c>
      <c r="C85" t="s">
        <v>61</v>
      </c>
    </row>
    <row r="86" spans="2:3">
      <c r="B86" s="16">
        <v>7</v>
      </c>
      <c r="C86" t="s">
        <v>62</v>
      </c>
    </row>
    <row r="87" spans="2:3">
      <c r="B87" s="16">
        <v>8</v>
      </c>
      <c r="C87" t="s">
        <v>63</v>
      </c>
    </row>
    <row r="88" spans="2:3">
      <c r="B88" s="16">
        <v>9</v>
      </c>
      <c r="C88" t="s">
        <v>64</v>
      </c>
    </row>
    <row r="89" spans="2:3">
      <c r="B89" s="16">
        <v>10</v>
      </c>
      <c r="C89" t="s">
        <v>65</v>
      </c>
    </row>
    <row r="90" spans="2:3">
      <c r="B90" s="16"/>
    </row>
    <row r="91" spans="2:3">
      <c r="B91" s="16"/>
    </row>
    <row r="92" spans="2:3">
      <c r="B92" s="16"/>
    </row>
    <row r="93" spans="2:3">
      <c r="B93" s="16"/>
    </row>
    <row r="94" spans="2:3">
      <c r="B94" s="16"/>
    </row>
    <row r="95" spans="2:3">
      <c r="B95" s="16"/>
    </row>
    <row r="96" spans="2:3">
      <c r="B96" s="16"/>
    </row>
    <row r="97" spans="2:2">
      <c r="B97" s="16"/>
    </row>
    <row r="98" spans="2:2">
      <c r="B98" s="16"/>
    </row>
    <row r="99" spans="2:2">
      <c r="B99" s="16"/>
    </row>
    <row r="100" spans="2:2">
      <c r="B100" s="16"/>
    </row>
    <row r="101" spans="2:2">
      <c r="B101" s="16"/>
    </row>
    <row r="102" spans="2:2">
      <c r="B102" s="16"/>
    </row>
    <row r="103" spans="2:2">
      <c r="B103" s="16"/>
    </row>
    <row r="104" spans="2:2">
      <c r="B104" s="16"/>
    </row>
    <row r="105" spans="2:2">
      <c r="B105" s="16"/>
    </row>
    <row r="106" spans="2:2">
      <c r="B106" s="16"/>
    </row>
    <row r="107" spans="2:2">
      <c r="B107" s="16"/>
    </row>
    <row r="108" spans="2:2">
      <c r="B108" s="16"/>
    </row>
    <row r="109" spans="2:2">
      <c r="B109" s="16"/>
    </row>
    <row r="110" spans="2:2">
      <c r="B11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132B5-EBB6-47AF-AC50-64CE5BFD05ED}">
  <dimension ref="B2:D19"/>
  <sheetViews>
    <sheetView topLeftCell="A6" workbookViewId="0">
      <selection activeCell="C1" sqref="C1:C1048576"/>
    </sheetView>
  </sheetViews>
  <sheetFormatPr defaultRowHeight="14.45"/>
  <cols>
    <col min="2" max="2" width="26.42578125" customWidth="1"/>
    <col min="4" max="4" width="56.140625" customWidth="1"/>
  </cols>
  <sheetData>
    <row r="2" spans="2:4">
      <c r="B2" s="27" t="s">
        <v>66</v>
      </c>
      <c r="C2" s="27"/>
      <c r="D2" s="27"/>
    </row>
    <row r="3" spans="2:4">
      <c r="B3" s="25" t="s">
        <v>67</v>
      </c>
      <c r="C3" s="25" t="s">
        <v>68</v>
      </c>
      <c r="D3" s="25" t="s">
        <v>69</v>
      </c>
    </row>
    <row r="4" spans="2:4">
      <c r="B4" s="26" t="s">
        <v>70</v>
      </c>
      <c r="C4" s="26">
        <v>1</v>
      </c>
      <c r="D4" s="26" t="s">
        <v>71</v>
      </c>
    </row>
    <row r="6" spans="2:4">
      <c r="B6" s="27" t="s">
        <v>66</v>
      </c>
      <c r="C6" s="27"/>
      <c r="D6" s="27"/>
    </row>
    <row r="7" spans="2:4">
      <c r="B7" s="25" t="s">
        <v>67</v>
      </c>
      <c r="C7" s="25" t="s">
        <v>68</v>
      </c>
      <c r="D7" s="25" t="s">
        <v>69</v>
      </c>
    </row>
    <row r="8" spans="2:4">
      <c r="B8" s="26" t="s">
        <v>72</v>
      </c>
      <c r="C8" s="26">
        <v>1</v>
      </c>
      <c r="D8" s="26" t="s">
        <v>73</v>
      </c>
    </row>
    <row r="10" spans="2:4">
      <c r="B10" s="27" t="s">
        <v>66</v>
      </c>
      <c r="C10" s="27"/>
      <c r="D10" s="27"/>
    </row>
    <row r="11" spans="2:4">
      <c r="B11" s="25" t="s">
        <v>67</v>
      </c>
      <c r="C11" s="25" t="s">
        <v>68</v>
      </c>
      <c r="D11" s="25" t="s">
        <v>69</v>
      </c>
    </row>
    <row r="12" spans="2:4">
      <c r="B12" s="26" t="s">
        <v>74</v>
      </c>
      <c r="C12" s="26">
        <v>1</v>
      </c>
      <c r="D12" s="26" t="s">
        <v>75</v>
      </c>
    </row>
    <row r="13" spans="2:4">
      <c r="B13" s="26" t="s">
        <v>76</v>
      </c>
      <c r="C13" s="26">
        <v>1</v>
      </c>
      <c r="D13" s="26" t="s">
        <v>77</v>
      </c>
    </row>
    <row r="15" spans="2:4">
      <c r="B15" s="27" t="s">
        <v>66</v>
      </c>
      <c r="C15" s="27"/>
      <c r="D15" s="27"/>
    </row>
    <row r="16" spans="2:4">
      <c r="B16" s="25" t="s">
        <v>67</v>
      </c>
      <c r="C16" s="25" t="s">
        <v>68</v>
      </c>
      <c r="D16" s="25" t="s">
        <v>69</v>
      </c>
    </row>
    <row r="17" spans="2:4">
      <c r="B17" s="26" t="s">
        <v>76</v>
      </c>
      <c r="C17" s="26">
        <v>1</v>
      </c>
      <c r="D17" s="26" t="s">
        <v>77</v>
      </c>
    </row>
    <row r="18" spans="2:4">
      <c r="B18" s="26" t="s">
        <v>78</v>
      </c>
      <c r="C18" s="26">
        <v>1</v>
      </c>
      <c r="D18" s="26" t="s">
        <v>79</v>
      </c>
    </row>
    <row r="19" spans="2:4">
      <c r="B19" s="26" t="s">
        <v>80</v>
      </c>
      <c r="C19" s="26">
        <v>1</v>
      </c>
      <c r="D19" s="26" t="s">
        <v>81</v>
      </c>
    </row>
  </sheetData>
  <mergeCells count="4">
    <mergeCell ref="B2:D2"/>
    <mergeCell ref="B6:D6"/>
    <mergeCell ref="B10:D10"/>
    <mergeCell ref="B15:D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4829947B156944985BFDFF3406D01F" ma:contentTypeVersion="14" ma:contentTypeDescription="Create a new document." ma:contentTypeScope="" ma:versionID="aa12ac2ceade034908e94c93dc340dec">
  <xsd:schema xmlns:xsd="http://www.w3.org/2001/XMLSchema" xmlns:xs="http://www.w3.org/2001/XMLSchema" xmlns:p="http://schemas.microsoft.com/office/2006/metadata/properties" xmlns:ns2="641ef47e-bfcb-4375-b898-094fc71fbee9" xmlns:ns3="15c6c981-e993-4afc-acb6-525661bfcba7" targetNamespace="http://schemas.microsoft.com/office/2006/metadata/properties" ma:root="true" ma:fieldsID="146e8394990655bc10682fc908dd2cd5" ns2:_="" ns3:_="">
    <xsd:import namespace="641ef47e-bfcb-4375-b898-094fc71fbee9"/>
    <xsd:import namespace="15c6c981-e993-4afc-acb6-525661bfcba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1ef47e-bfcb-4375-b898-094fc71fbe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ce2f110-134e-491c-b1fb-b64789dc5c1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c6c981-e993-4afc-acb6-525661bfcba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6c36f93-94b4-420f-8f1e-ad71ee00ea92}" ma:internalName="TaxCatchAll" ma:showField="CatchAllData" ma:web="15c6c981-e993-4afc-acb6-525661bfcb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5c6c981-e993-4afc-acb6-525661bfcba7" xsi:nil="true"/>
    <lcf76f155ced4ddcb4097134ff3c332f xmlns="641ef47e-bfcb-4375-b898-094fc71fbe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F49240-7A44-41A2-814D-CE7F058AA45E}"/>
</file>

<file path=customXml/itemProps2.xml><?xml version="1.0" encoding="utf-8"?>
<ds:datastoreItem xmlns:ds="http://schemas.openxmlformats.org/officeDocument/2006/customXml" ds:itemID="{384F78BF-6833-4E5D-A9A5-219946930F66}"/>
</file>

<file path=customXml/itemProps3.xml><?xml version="1.0" encoding="utf-8"?>
<ds:datastoreItem xmlns:ds="http://schemas.openxmlformats.org/officeDocument/2006/customXml" ds:itemID="{0226A8CC-8FD3-4137-ABE4-BB9EC96265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Aditya Vaidya</dc:creator>
  <cp:keywords/>
  <dc:description/>
  <cp:lastModifiedBy/>
  <cp:revision/>
  <dcterms:created xsi:type="dcterms:W3CDTF">2023-01-04T22:01:22Z</dcterms:created>
  <dcterms:modified xsi:type="dcterms:W3CDTF">2025-06-02T19:41:33Z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0x0101007A4829947B156944985BFDFF3406D01F</vt:lpwstr>
  </property>
  <property fmtid="{D5CDD505-2E9C-101B-9397-08002B2CF9AE}" pid="3" name="MediaServiceImageTags">
    <vt:lpwstr/>
  </property>
</Properties>
</file>